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ott.frederick\Documents\Projects\FTZ DFW Marketing\"/>
    </mc:Choice>
  </mc:AlternateContent>
  <bookViews>
    <workbookView xWindow="0" yWindow="0" windowWidth="28800" windowHeight="12435"/>
  </bookViews>
  <sheets>
    <sheet name="FTZ Calculator" sheetId="1" r:id="rId1"/>
  </sheets>
  <definedNames>
    <definedName name="_xlnm.Print_Area" localSheetId="0">'FTZ Calculator'!$A$1:$U$38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K12" i="1" l="1"/>
  <c r="N12" i="1" s="1"/>
  <c r="H12" i="1"/>
  <c r="K17" i="1"/>
  <c r="H17" i="1"/>
  <c r="K16" i="1"/>
  <c r="H16" i="1"/>
  <c r="K15" i="1"/>
  <c r="H15" i="1"/>
  <c r="H14" i="1"/>
  <c r="T26" i="1"/>
  <c r="T25" i="1"/>
  <c r="T24" i="1"/>
  <c r="Q26" i="1"/>
  <c r="Q25" i="1"/>
  <c r="Q27" i="1" s="1"/>
  <c r="Q24" i="1"/>
  <c r="N26" i="1"/>
  <c r="N25" i="1"/>
  <c r="N27" i="1" s="1"/>
  <c r="N24" i="1"/>
  <c r="K26" i="1"/>
  <c r="K25" i="1"/>
  <c r="K27" i="1" s="1"/>
  <c r="H26" i="1"/>
  <c r="H25" i="1"/>
  <c r="H24" i="1"/>
  <c r="H27" i="1" s="1"/>
  <c r="K14" i="1" l="1"/>
  <c r="T14" i="1" s="1"/>
  <c r="T27" i="1"/>
  <c r="Q12" i="1"/>
  <c r="T12" i="1"/>
  <c r="B13" i="1"/>
  <c r="H18" i="1" s="1"/>
  <c r="Q14" i="1" l="1"/>
  <c r="N14" i="1"/>
  <c r="T18" i="1"/>
  <c r="Q18" i="1"/>
  <c r="K13" i="1"/>
  <c r="N13" i="1" s="1"/>
  <c r="H13" i="1"/>
  <c r="T15" i="1"/>
  <c r="Q15" i="1"/>
  <c r="N15" i="1"/>
  <c r="Q17" i="1"/>
  <c r="N17" i="1"/>
  <c r="T17" i="1"/>
  <c r="N16" i="1"/>
  <c r="T16" i="1"/>
  <c r="Q16" i="1"/>
  <c r="N18" i="1" l="1"/>
  <c r="H19" i="1"/>
  <c r="K19" i="1" s="1"/>
  <c r="N19" i="1" s="1"/>
  <c r="T13" i="1"/>
  <c r="Q13" i="1"/>
  <c r="N20" i="1" l="1"/>
  <c r="N29" i="1" s="1"/>
  <c r="N30" i="1" s="1"/>
  <c r="H20" i="1"/>
  <c r="H29" i="1" s="1"/>
  <c r="H30" i="1" s="1"/>
  <c r="Q19" i="1"/>
  <c r="Q20" i="1" s="1"/>
  <c r="Q29" i="1" s="1"/>
  <c r="Q30" i="1" s="1"/>
  <c r="K20" i="1"/>
  <c r="K29" i="1" s="1"/>
  <c r="K30" i="1" s="1"/>
  <c r="T19" i="1"/>
  <c r="T20" i="1" s="1"/>
  <c r="T29" i="1" s="1"/>
  <c r="T30" i="1" s="1"/>
</calcChain>
</file>

<file path=xl/sharedStrings.xml><?xml version="1.0" encoding="utf-8"?>
<sst xmlns="http://schemas.openxmlformats.org/spreadsheetml/2006/main" count="89" uniqueCount="53">
  <si>
    <t>Warehouse SF</t>
  </si>
  <si>
    <t>Annual Value of Imported Goods</t>
  </si>
  <si>
    <t>Inventory Turns per year</t>
  </si>
  <si>
    <t>Average On Hand Value of Imports</t>
  </si>
  <si>
    <t>Freeport Eligible Imported Inventory</t>
  </si>
  <si>
    <t>%</t>
  </si>
  <si>
    <t>Inventory Tax Rate at Alliance</t>
  </si>
  <si>
    <t>Imported product that is reject or scrap</t>
  </si>
  <si>
    <t>Imported product re-exported</t>
  </si>
  <si>
    <t>Imported product sold to military</t>
  </si>
  <si>
    <t>Weighted Average Duty Rate of Imported Components</t>
  </si>
  <si>
    <t>Weighted Average Duty Rate of Finished Product</t>
  </si>
  <si>
    <t>Opportunity Cost of Capital</t>
  </si>
  <si>
    <t>Average number of entries per year</t>
  </si>
  <si>
    <t>Average Merchandise Processing Fee per entry</t>
  </si>
  <si>
    <t>Estimated One time Activation expense</t>
  </si>
  <si>
    <t>Estimated Annual FTZ Operating expense</t>
  </si>
  <si>
    <t>Annual Grantee Fee</t>
  </si>
  <si>
    <t>Year 1</t>
  </si>
  <si>
    <t>Years 2 - 10</t>
  </si>
  <si>
    <t>Annual Basis</t>
  </si>
  <si>
    <t>3 Yr Term</t>
  </si>
  <si>
    <t>5 Yr Term</t>
  </si>
  <si>
    <t>10 Yr Term</t>
  </si>
  <si>
    <t>FTZ Savings</t>
  </si>
  <si>
    <t>Inverted Duty Savings</t>
  </si>
  <si>
    <t>$</t>
  </si>
  <si>
    <t>Inventory Tax Savings</t>
  </si>
  <si>
    <t>Merchandise Processing Fee Savings</t>
  </si>
  <si>
    <t>Duty Savings on Re-exports</t>
  </si>
  <si>
    <t>Duty Savings on Reject or Scrap</t>
  </si>
  <si>
    <t>Duty Savings on Military Sales</t>
  </si>
  <si>
    <t>One Time Duty Deferral Benefit</t>
  </si>
  <si>
    <t>-</t>
  </si>
  <si>
    <t>Ongoing Duty Deferral Benefit</t>
  </si>
  <si>
    <t>Total FTZ Savings</t>
  </si>
  <si>
    <t>FTZ Costs</t>
  </si>
  <si>
    <t>One Time Activation Expense</t>
  </si>
  <si>
    <t>Annual FTZ Operating Expense</t>
  </si>
  <si>
    <t>Total FTZ Costs</t>
  </si>
  <si>
    <t>Net FTZ Savings</t>
  </si>
  <si>
    <t>Net FTZ Savings per SQFT</t>
  </si>
  <si>
    <t xml:space="preserve">This is a preliminary analysis which is only as accurate as the assumptions used to generate the results. </t>
  </si>
  <si>
    <t xml:space="preserve">This analysis should not be relied upon until the assumptions, calculations, and results contained herein have been verified Logistics Plus does not represent that any specific program will be available, nor that a client will qualify.  </t>
  </si>
  <si>
    <t xml:space="preserve">Logistics Plus will provide information pertaining to these programs which will enable the client to underwrite the savings. 
</t>
  </si>
  <si>
    <t xml:space="preserve">For additional information regarding Logistics Plus FTZ solutions, please contact Adam Mook at 814.464.1722 or adam.mook@logisticsplus.net
</t>
  </si>
  <si>
    <t>Estimated Savings:</t>
  </si>
  <si>
    <t xml:space="preserve">Logistics Plus FTZ warehouse have specific eligibility requirements that must be explored by the individual client.  </t>
  </si>
  <si>
    <t xml:space="preserve">Calculator adapted from http://www.alliancetexas.com/AllianceGlobalLogisticsHub/FTZCalculator.aspx </t>
  </si>
  <si>
    <t>Foreign Trade Zone (FTZ) Savings Calculator</t>
  </si>
  <si>
    <t>Enter Input Assumptions Here:</t>
  </si>
  <si>
    <t>Input Field</t>
  </si>
  <si>
    <t>Non-Input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</si>
</sst>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8" x14ac:knownFonts="1">
    <font>
      <sz val="11"/>
      <color theme="1"/>
      <name val="Calibri"/>
      <family val="2"/>
      <scheme val="minor"/>
    </font>
    <font>
      <b/>
      <sz val="11"/>
      <color theme="1"/>
      <name val="Calibri"/>
      <family val="2"/>
      <scheme val="minor"/>
    </font>
    <font>
      <sz val="9"/>
      <color rgb="FF374146"/>
      <name val="Arial"/>
      <family val="2"/>
    </font>
    <font>
      <b/>
      <sz val="9"/>
      <color theme="1"/>
      <name val="Arial"/>
      <family val="2"/>
    </font>
    <font>
      <sz val="9"/>
      <color theme="1"/>
      <name val="Arial"/>
      <family val="2"/>
    </font>
    <font>
      <sz val="9"/>
      <color theme="1"/>
      <name val="Calibri"/>
      <family val="2"/>
      <scheme val="minor"/>
    </font>
    <font>
      <sz val="7"/>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style="thick">
        <color rgb="FF000000"/>
      </right>
      <top/>
      <bottom style="medium">
        <color rgb="FF000000"/>
      </bottom>
      <diagonal/>
    </border>
    <border>
      <left/>
      <right style="thick">
        <color rgb="FF000000"/>
      </right>
      <top/>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medium">
        <color rgb="FF000000"/>
      </top>
      <bottom/>
      <diagonal/>
    </border>
    <border>
      <left style="thick">
        <color rgb="FF000000"/>
      </left>
      <right/>
      <top/>
      <bottom style="medium">
        <color rgb="FF000000"/>
      </bottom>
      <diagonal/>
    </border>
  </borders>
  <cellStyleXfs count="1">
    <xf numFmtId="0" fontId="0" fillId="0" borderId="0"/>
  </cellStyleXfs>
  <cellXfs count="64">
    <xf numFmtId="0" fontId="0" fillId="0" borderId="0" xfId="0"/>
    <xf numFmtId="0" fontId="4" fillId="0" borderId="13"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4" xfId="0" applyFont="1" applyBorder="1" applyAlignment="1">
      <alignment horizontal="right" vertical="center"/>
    </xf>
    <xf numFmtId="3" fontId="4" fillId="0" borderId="0" xfId="0" applyNumberFormat="1" applyFont="1" applyAlignment="1">
      <alignment horizontal="right" vertical="center"/>
    </xf>
    <xf numFmtId="0" fontId="3" fillId="0" borderId="5" xfId="0" applyFont="1" applyBorder="1" applyAlignment="1">
      <alignment vertical="center"/>
    </xf>
    <xf numFmtId="0" fontId="3" fillId="0" borderId="5" xfId="0" applyFont="1" applyBorder="1" applyAlignment="1">
      <alignment horizontal="right" vertical="center"/>
    </xf>
    <xf numFmtId="3" fontId="3" fillId="0" borderId="5" xfId="0" applyNumberFormat="1" applyFont="1" applyBorder="1" applyAlignment="1">
      <alignment horizontal="right" vertical="center"/>
    </xf>
    <xf numFmtId="0" fontId="3" fillId="0" borderId="6" xfId="0" applyFont="1" applyBorder="1" applyAlignment="1">
      <alignment horizontal="right" vertical="center"/>
    </xf>
    <xf numFmtId="0" fontId="3" fillId="2" borderId="7" xfId="0" applyFont="1" applyFill="1" applyBorder="1" applyAlignment="1">
      <alignment vertical="center"/>
    </xf>
    <xf numFmtId="0" fontId="3" fillId="2" borderId="7" xfId="0" applyFont="1" applyFill="1" applyBorder="1" applyAlignment="1">
      <alignment horizontal="right" vertical="center"/>
    </xf>
    <xf numFmtId="3" fontId="3" fillId="2" borderId="7" xfId="0" applyNumberFormat="1" applyFont="1" applyFill="1" applyBorder="1" applyAlignment="1">
      <alignment horizontal="right" vertical="center"/>
    </xf>
    <xf numFmtId="0" fontId="3" fillId="2" borderId="8" xfId="0" applyFont="1" applyFill="1" applyBorder="1" applyAlignment="1">
      <alignment horizontal="righ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5" xfId="0" applyFont="1" applyFill="1" applyBorder="1" applyAlignment="1">
      <alignment horizontal="right" vertical="center"/>
    </xf>
    <xf numFmtId="0" fontId="2" fillId="2" borderId="16" xfId="0" applyFont="1" applyFill="1" applyBorder="1" applyAlignment="1">
      <alignment horizontal="right" vertical="center"/>
    </xf>
    <xf numFmtId="0" fontId="0" fillId="0" borderId="15" xfId="0" applyBorder="1" applyAlignment="1"/>
    <xf numFmtId="0" fontId="0" fillId="0" borderId="16" xfId="0" applyBorder="1" applyAlignment="1"/>
    <xf numFmtId="0" fontId="0" fillId="0" borderId="0" xfId="0" applyAlignment="1"/>
    <xf numFmtId="0" fontId="1" fillId="0" borderId="0" xfId="0" applyFont="1" applyAlignment="1"/>
    <xf numFmtId="165" fontId="0" fillId="0" borderId="0" xfId="0" applyNumberFormat="1" applyAlignment="1"/>
    <xf numFmtId="164" fontId="0" fillId="0" borderId="0" xfId="0" applyNumberFormat="1" applyAlignment="1"/>
    <xf numFmtId="164" fontId="0" fillId="3" borderId="1" xfId="0" applyNumberFormat="1" applyFill="1" applyBorder="1" applyAlignment="1">
      <alignment horizontal="right"/>
    </xf>
    <xf numFmtId="165" fontId="0" fillId="3" borderId="1" xfId="0" applyNumberFormat="1" applyFill="1" applyBorder="1" applyAlignment="1"/>
    <xf numFmtId="0" fontId="0" fillId="3" borderId="1" xfId="0" applyFill="1" applyBorder="1" applyAlignment="1"/>
    <xf numFmtId="0" fontId="0" fillId="0" borderId="0" xfId="0" applyAlignment="1" applyProtection="1"/>
    <xf numFmtId="165" fontId="0" fillId="0" borderId="0" xfId="0" applyNumberFormat="1" applyAlignment="1" applyProtection="1"/>
    <xf numFmtId="3" fontId="0" fillId="4" borderId="1" xfId="0" applyNumberFormat="1" applyFill="1" applyBorder="1" applyAlignment="1" applyProtection="1">
      <protection locked="0"/>
    </xf>
    <xf numFmtId="165" fontId="0" fillId="4" borderId="1" xfId="0" applyNumberFormat="1" applyFill="1" applyBorder="1" applyAlignment="1" applyProtection="1">
      <protection locked="0"/>
    </xf>
    <xf numFmtId="0" fontId="0" fillId="4" borderId="1" xfId="0" applyFill="1" applyBorder="1" applyAlignment="1" applyProtection="1">
      <protection locked="0"/>
    </xf>
    <xf numFmtId="0" fontId="3" fillId="4" borderId="9" xfId="0" applyFont="1" applyFill="1" applyBorder="1" applyAlignment="1">
      <alignment vertical="center"/>
    </xf>
    <xf numFmtId="0" fontId="3" fillId="4" borderId="10" xfId="0" applyFont="1" applyFill="1" applyBorder="1" applyAlignment="1">
      <alignment vertical="center"/>
    </xf>
    <xf numFmtId="0" fontId="3" fillId="4" borderId="10" xfId="0" applyFont="1" applyFill="1" applyBorder="1" applyAlignment="1">
      <alignment horizontal="right" vertical="center"/>
    </xf>
    <xf numFmtId="0" fontId="3" fillId="4" borderId="11" xfId="0" applyFont="1" applyFill="1" applyBorder="1" applyAlignment="1">
      <alignment horizontal="right" vertical="center"/>
    </xf>
    <xf numFmtId="0" fontId="3" fillId="4" borderId="17" xfId="0" applyFont="1" applyFill="1" applyBorder="1" applyAlignment="1">
      <alignment horizontal="right" vertical="center"/>
    </xf>
    <xf numFmtId="0" fontId="3" fillId="4" borderId="11" xfId="0" applyFont="1" applyFill="1" applyBorder="1" applyAlignment="1">
      <alignment vertical="center"/>
    </xf>
    <xf numFmtId="0" fontId="3" fillId="4" borderId="12" xfId="0" applyFont="1" applyFill="1" applyBorder="1" applyAlignment="1">
      <alignment vertical="center"/>
    </xf>
    <xf numFmtId="0" fontId="3" fillId="4" borderId="2" xfId="0" applyFont="1" applyFill="1" applyBorder="1" applyAlignment="1">
      <alignment vertical="center"/>
    </xf>
    <xf numFmtId="0" fontId="3" fillId="4" borderId="2" xfId="0" applyFont="1" applyFill="1" applyBorder="1" applyAlignment="1">
      <alignment horizontal="right" vertical="center"/>
    </xf>
    <xf numFmtId="0" fontId="3" fillId="4" borderId="3" xfId="0" applyFont="1" applyFill="1" applyBorder="1" applyAlignment="1">
      <alignment horizontal="right" vertical="center"/>
    </xf>
    <xf numFmtId="0" fontId="3" fillId="4" borderId="18" xfId="0" applyFont="1" applyFill="1" applyBorder="1" applyAlignment="1">
      <alignment horizontal="right" vertical="center"/>
    </xf>
    <xf numFmtId="0" fontId="3" fillId="4" borderId="3" xfId="0" applyFont="1" applyFill="1" applyBorder="1" applyAlignment="1">
      <alignment vertical="center"/>
    </xf>
    <xf numFmtId="0" fontId="3" fillId="4" borderId="7" xfId="0" applyFont="1" applyFill="1" applyBorder="1" applyAlignment="1">
      <alignment vertical="center"/>
    </xf>
    <xf numFmtId="0" fontId="3" fillId="4" borderId="7" xfId="0" applyFont="1" applyFill="1" applyBorder="1" applyAlignment="1">
      <alignment horizontal="right" vertical="center"/>
    </xf>
    <xf numFmtId="3" fontId="4" fillId="0" borderId="0" xfId="0" applyNumberFormat="1" applyFont="1" applyFill="1" applyAlignment="1">
      <alignment horizontal="right" vertical="center"/>
    </xf>
    <xf numFmtId="164"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4" xfId="0" applyFont="1" applyFill="1" applyBorder="1" applyAlignment="1">
      <alignment horizontal="right" vertical="center"/>
    </xf>
    <xf numFmtId="0" fontId="4" fillId="0" borderId="0" xfId="0" applyFont="1" applyFill="1" applyAlignment="1">
      <alignment vertical="center"/>
    </xf>
    <xf numFmtId="0" fontId="7" fillId="0" borderId="0" xfId="0" applyFont="1" applyAlignment="1">
      <alignment horizontal="left"/>
    </xf>
    <xf numFmtId="3" fontId="5" fillId="4" borderId="1" xfId="0" applyNumberFormat="1" applyFont="1" applyFill="1" applyBorder="1" applyAlignment="1" applyProtection="1">
      <alignment horizontal="center"/>
    </xf>
    <xf numFmtId="0" fontId="5" fillId="3" borderId="1" xfId="0" applyFont="1" applyFill="1" applyBorder="1" applyAlignment="1">
      <alignment horizontal="center"/>
    </xf>
    <xf numFmtId="4" fontId="3" fillId="4" borderId="7" xfId="0" applyNumberFormat="1" applyFont="1" applyFill="1" applyBorder="1" applyAlignment="1">
      <alignment horizontal="right" vertical="center"/>
    </xf>
    <xf numFmtId="4" fontId="3" fillId="4" borderId="7" xfId="0" applyNumberFormat="1" applyFont="1" applyFill="1" applyBorder="1" applyAlignment="1">
      <alignment vertical="center"/>
    </xf>
    <xf numFmtId="4" fontId="3" fillId="4" borderId="8" xfId="0" applyNumberFormat="1" applyFont="1" applyFill="1" applyBorder="1" applyAlignment="1">
      <alignment horizontal="right" vertical="center"/>
    </xf>
    <xf numFmtId="165" fontId="0" fillId="3" borderId="1" xfId="0" applyNumberFormat="1" applyFill="1" applyBorder="1" applyAlignment="1" applyProtection="1"/>
    <xf numFmtId="0" fontId="6" fillId="0" borderId="0" xfId="0" applyFont="1" applyAlignment="1" applyProtection="1">
      <alignment horizontal="left"/>
    </xf>
    <xf numFmtId="0" fontId="6"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logisticsplus.net/contact-us/request-information/"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1654249</xdr:colOff>
      <xdr:row>2</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558999" cy="485775"/>
        </a:xfrm>
        <a:prstGeom prst="rect">
          <a:avLst/>
        </a:prstGeom>
      </xdr:spPr>
    </xdr:pic>
    <xdr:clientData/>
  </xdr:twoCellAnchor>
  <xdr:twoCellAnchor editAs="oneCell">
    <xdr:from>
      <xdr:col>0</xdr:col>
      <xdr:colOff>981075</xdr:colOff>
      <xdr:row>30</xdr:row>
      <xdr:rowOff>9525</xdr:rowOff>
    </xdr:from>
    <xdr:to>
      <xdr:col>1</xdr:col>
      <xdr:colOff>76200</xdr:colOff>
      <xdr:row>34</xdr:row>
      <xdr:rowOff>142875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81075" y="5905500"/>
          <a:ext cx="2466975" cy="92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U55"/>
  <sheetViews>
    <sheetView showGridLines="0" tabSelected="1" workbookViewId="0">
      <selection activeCell="B10" sqref="B10"/>
    </sheetView>
  </sheetViews>
  <sheetFormatPr defaultRowHeight="15" x14ac:dyDescent="0.25"/>
  <cols>
    <col min="1" max="1" width="50.5703125" style="24" bestFit="1" customWidth="1"/>
    <col min="2" max="2" width="12.7109375" style="24" bestFit="1" customWidth="1"/>
    <col min="3" max="3" width="2.5703125" style="24" bestFit="1" customWidth="1"/>
    <col min="4" max="4" width="9.140625" style="24"/>
    <col min="5" max="5" width="3.28515625" style="24" customWidth="1"/>
    <col min="6" max="6" width="31.42578125" style="24" bestFit="1" customWidth="1"/>
    <col min="7" max="7" width="2" style="24" bestFit="1" customWidth="1"/>
    <col min="8" max="8" width="10.85546875" style="24" bestFit="1" customWidth="1"/>
    <col min="9" max="9" width="9.85546875" style="24" bestFit="1" customWidth="1"/>
    <col min="10" max="10" width="2" style="24" bestFit="1" customWidth="1"/>
    <col min="11" max="11" width="11.5703125" style="24" bestFit="1" customWidth="1"/>
    <col min="12" max="12" width="9.140625" style="24"/>
    <col min="13" max="13" width="2" style="24" bestFit="1" customWidth="1"/>
    <col min="14" max="14" width="9.85546875" style="24" bestFit="1" customWidth="1"/>
    <col min="15" max="15" width="9.140625" style="24"/>
    <col min="16" max="16" width="2" style="24" bestFit="1" customWidth="1"/>
    <col min="17" max="17" width="9.85546875" style="24" bestFit="1" customWidth="1"/>
    <col min="18" max="18" width="9.140625" style="24"/>
    <col min="19" max="19" width="2" style="24" bestFit="1" customWidth="1"/>
    <col min="20" max="20" width="10.85546875" style="24" bestFit="1" customWidth="1"/>
    <col min="21" max="21" width="1.28515625" style="24" customWidth="1"/>
    <col min="22" max="16384" width="9.140625" style="24"/>
  </cols>
  <sheetData>
    <row r="2" spans="1:21" ht="18.75" x14ac:dyDescent="0.3">
      <c r="B2" s="55" t="s">
        <v>49</v>
      </c>
    </row>
    <row r="5" spans="1:21" x14ac:dyDescent="0.25">
      <c r="E5" s="25" t="s">
        <v>46</v>
      </c>
    </row>
    <row r="6" spans="1:21" ht="15.75" thickBot="1" x14ac:dyDescent="0.3">
      <c r="A6" s="25"/>
    </row>
    <row r="7" spans="1:21" x14ac:dyDescent="0.25">
      <c r="B7" s="56" t="s">
        <v>51</v>
      </c>
      <c r="E7" s="36"/>
      <c r="F7" s="37"/>
      <c r="G7" s="38"/>
      <c r="H7" s="38" t="s">
        <v>18</v>
      </c>
      <c r="I7" s="37"/>
      <c r="J7" s="38"/>
      <c r="K7" s="38" t="s">
        <v>19</v>
      </c>
      <c r="L7" s="39"/>
      <c r="M7" s="40"/>
      <c r="N7" s="38" t="s">
        <v>21</v>
      </c>
      <c r="O7" s="37"/>
      <c r="P7" s="38"/>
      <c r="Q7" s="38" t="s">
        <v>22</v>
      </c>
      <c r="R7" s="37"/>
      <c r="S7" s="38"/>
      <c r="T7" s="38" t="s">
        <v>23</v>
      </c>
      <c r="U7" s="41"/>
    </row>
    <row r="8" spans="1:21" ht="15.75" thickBot="1" x14ac:dyDescent="0.3">
      <c r="A8" s="25" t="s">
        <v>50</v>
      </c>
      <c r="B8" s="57" t="s">
        <v>52</v>
      </c>
      <c r="E8" s="42"/>
      <c r="F8" s="43"/>
      <c r="G8" s="44"/>
      <c r="H8" s="44"/>
      <c r="I8" s="43"/>
      <c r="J8" s="44"/>
      <c r="K8" s="44" t="s">
        <v>20</v>
      </c>
      <c r="L8" s="45"/>
      <c r="M8" s="46"/>
      <c r="N8" s="44"/>
      <c r="O8" s="43"/>
      <c r="P8" s="44"/>
      <c r="Q8" s="44"/>
      <c r="R8" s="43"/>
      <c r="S8" s="44"/>
      <c r="T8" s="44"/>
      <c r="U8" s="47"/>
    </row>
    <row r="9" spans="1:21" x14ac:dyDescent="0.25">
      <c r="E9" s="1"/>
      <c r="F9" s="2"/>
      <c r="G9" s="3"/>
      <c r="H9" s="3"/>
      <c r="I9" s="2"/>
      <c r="J9" s="3"/>
      <c r="K9" s="3"/>
      <c r="L9" s="4"/>
      <c r="M9" s="3"/>
      <c r="N9" s="3"/>
      <c r="O9" s="2"/>
      <c r="P9" s="3"/>
      <c r="Q9" s="3"/>
      <c r="R9" s="2"/>
      <c r="S9" s="3"/>
      <c r="T9" s="3"/>
      <c r="U9" s="5"/>
    </row>
    <row r="10" spans="1:21" x14ac:dyDescent="0.25">
      <c r="A10" s="24" t="s">
        <v>0</v>
      </c>
      <c r="B10" s="33">
        <v>10000</v>
      </c>
      <c r="E10" s="1"/>
      <c r="F10" s="6" t="s">
        <v>24</v>
      </c>
      <c r="G10" s="7"/>
      <c r="H10" s="7"/>
      <c r="I10" s="6"/>
      <c r="J10" s="7"/>
      <c r="K10" s="7"/>
      <c r="L10" s="8"/>
      <c r="M10" s="7"/>
      <c r="N10" s="7"/>
      <c r="O10" s="6"/>
      <c r="P10" s="7"/>
      <c r="Q10" s="7"/>
      <c r="R10" s="6"/>
      <c r="S10" s="7"/>
      <c r="T10" s="7"/>
      <c r="U10" s="5"/>
    </row>
    <row r="11" spans="1:21" x14ac:dyDescent="0.25">
      <c r="A11" s="24" t="s">
        <v>1</v>
      </c>
      <c r="B11" s="34">
        <v>11000000</v>
      </c>
      <c r="E11" s="1"/>
      <c r="F11" s="2"/>
      <c r="G11" s="3"/>
      <c r="H11" s="3"/>
      <c r="I11" s="2"/>
      <c r="J11" s="3"/>
      <c r="K11" s="3"/>
      <c r="L11" s="4"/>
      <c r="M11" s="3"/>
      <c r="N11" s="3"/>
      <c r="O11" s="2"/>
      <c r="P11" s="3"/>
      <c r="Q11" s="3"/>
      <c r="R11" s="2"/>
      <c r="S11" s="3"/>
      <c r="T11" s="3"/>
      <c r="U11" s="5"/>
    </row>
    <row r="12" spans="1:21" x14ac:dyDescent="0.25">
      <c r="A12" s="24" t="s">
        <v>2</v>
      </c>
      <c r="B12" s="35">
        <v>4</v>
      </c>
      <c r="E12" s="1"/>
      <c r="F12" s="2" t="s">
        <v>25</v>
      </c>
      <c r="G12" s="3" t="s">
        <v>26</v>
      </c>
      <c r="H12" s="50">
        <f>B11*(B19/100)-(B11*(B20/100))</f>
        <v>6050000</v>
      </c>
      <c r="I12" s="51"/>
      <c r="J12" s="52" t="s">
        <v>26</v>
      </c>
      <c r="K12" s="50">
        <f>B11*(B19/100)-(B11*(B20/100))</f>
        <v>6050000</v>
      </c>
      <c r="L12" s="53"/>
      <c r="M12" s="52" t="s">
        <v>26</v>
      </c>
      <c r="N12" s="50">
        <f t="shared" ref="N12:N17" si="0">K12*3</f>
        <v>18150000</v>
      </c>
      <c r="O12" s="54"/>
      <c r="P12" s="52"/>
      <c r="Q12" s="50">
        <f t="shared" ref="Q12:Q17" si="1">K12*5</f>
        <v>30250000</v>
      </c>
      <c r="R12" s="54"/>
      <c r="S12" s="52"/>
      <c r="T12" s="50">
        <f t="shared" ref="T12:T17" si="2">K12*10</f>
        <v>60500000</v>
      </c>
      <c r="U12" s="5"/>
    </row>
    <row r="13" spans="1:21" x14ac:dyDescent="0.25">
      <c r="A13" s="24" t="s">
        <v>3</v>
      </c>
      <c r="B13" s="61">
        <f>IF(B12="","",B11/B12)</f>
        <v>2750000</v>
      </c>
      <c r="E13" s="1"/>
      <c r="F13" s="2" t="s">
        <v>27</v>
      </c>
      <c r="G13" s="3"/>
      <c r="H13" s="50">
        <f>B13*(1-B14/100)*(B15/100)</f>
        <v>56100.000000000007</v>
      </c>
      <c r="I13" s="54"/>
      <c r="J13" s="52"/>
      <c r="K13" s="50">
        <f>B13*(1-B14/100)*(B15/100)</f>
        <v>56100.000000000007</v>
      </c>
      <c r="L13" s="53"/>
      <c r="M13" s="52"/>
      <c r="N13" s="50">
        <f t="shared" si="0"/>
        <v>168300.00000000003</v>
      </c>
      <c r="O13" s="54"/>
      <c r="P13" s="52"/>
      <c r="Q13" s="50">
        <f t="shared" si="1"/>
        <v>280500.00000000006</v>
      </c>
      <c r="R13" s="54"/>
      <c r="S13" s="52"/>
      <c r="T13" s="50">
        <f t="shared" si="2"/>
        <v>561000.00000000012</v>
      </c>
      <c r="U13" s="5"/>
    </row>
    <row r="14" spans="1:21" x14ac:dyDescent="0.25">
      <c r="A14" s="24" t="s">
        <v>4</v>
      </c>
      <c r="B14" s="35">
        <v>40</v>
      </c>
      <c r="C14" s="24" t="s">
        <v>5</v>
      </c>
      <c r="E14" s="1"/>
      <c r="F14" s="2" t="s">
        <v>28</v>
      </c>
      <c r="G14" s="3"/>
      <c r="H14" s="50">
        <f>(B22*B23)-25220</f>
        <v>9420</v>
      </c>
      <c r="I14" s="54"/>
      <c r="J14" s="52"/>
      <c r="K14" s="50">
        <f>(B22*B23)-25220</f>
        <v>9420</v>
      </c>
      <c r="L14" s="53"/>
      <c r="M14" s="52"/>
      <c r="N14" s="50">
        <f t="shared" si="0"/>
        <v>28260</v>
      </c>
      <c r="O14" s="54"/>
      <c r="P14" s="52"/>
      <c r="Q14" s="50">
        <f t="shared" si="1"/>
        <v>47100</v>
      </c>
      <c r="R14" s="54"/>
      <c r="S14" s="52"/>
      <c r="T14" s="50">
        <f t="shared" si="2"/>
        <v>94200</v>
      </c>
      <c r="U14" s="5"/>
    </row>
    <row r="15" spans="1:21" x14ac:dyDescent="0.25">
      <c r="A15" s="24" t="s">
        <v>6</v>
      </c>
      <c r="B15" s="30">
        <v>3.4</v>
      </c>
      <c r="C15" s="24" t="s">
        <v>5</v>
      </c>
      <c r="E15" s="1"/>
      <c r="F15" s="2" t="s">
        <v>29</v>
      </c>
      <c r="G15" s="3"/>
      <c r="H15" s="50">
        <f>B11*(B17/100)*(B19/100)</f>
        <v>660000</v>
      </c>
      <c r="I15" s="54"/>
      <c r="J15" s="52"/>
      <c r="K15" s="50">
        <f>B11*(B17/100)*(B19/100)</f>
        <v>660000</v>
      </c>
      <c r="L15" s="53"/>
      <c r="M15" s="52"/>
      <c r="N15" s="50">
        <f t="shared" si="0"/>
        <v>1980000</v>
      </c>
      <c r="O15" s="54"/>
      <c r="P15" s="52"/>
      <c r="Q15" s="50">
        <f t="shared" si="1"/>
        <v>3300000</v>
      </c>
      <c r="R15" s="54"/>
      <c r="S15" s="52"/>
      <c r="T15" s="50">
        <f t="shared" si="2"/>
        <v>6600000</v>
      </c>
      <c r="U15" s="5"/>
    </row>
    <row r="16" spans="1:21" x14ac:dyDescent="0.25">
      <c r="A16" s="24" t="s">
        <v>7</v>
      </c>
      <c r="B16" s="35">
        <v>10</v>
      </c>
      <c r="C16" s="24" t="s">
        <v>5</v>
      </c>
      <c r="E16" s="1"/>
      <c r="F16" s="2" t="s">
        <v>30</v>
      </c>
      <c r="G16" s="3"/>
      <c r="H16" s="50">
        <f>B11*(B16/100)*(B19/100)</f>
        <v>660000</v>
      </c>
      <c r="I16" s="54"/>
      <c r="J16" s="52"/>
      <c r="K16" s="50">
        <f>B11*(B16/100)*(B19/100)</f>
        <v>660000</v>
      </c>
      <c r="L16" s="53"/>
      <c r="M16" s="52"/>
      <c r="N16" s="50">
        <f t="shared" si="0"/>
        <v>1980000</v>
      </c>
      <c r="O16" s="54"/>
      <c r="P16" s="52"/>
      <c r="Q16" s="50">
        <f t="shared" si="1"/>
        <v>3300000</v>
      </c>
      <c r="R16" s="54"/>
      <c r="S16" s="52"/>
      <c r="T16" s="50">
        <f t="shared" si="2"/>
        <v>6600000</v>
      </c>
      <c r="U16" s="5"/>
    </row>
    <row r="17" spans="1:21" x14ac:dyDescent="0.25">
      <c r="A17" s="24" t="s">
        <v>8</v>
      </c>
      <c r="B17" s="35">
        <v>10</v>
      </c>
      <c r="C17" s="24" t="s">
        <v>5</v>
      </c>
      <c r="E17" s="1"/>
      <c r="F17" s="2" t="s">
        <v>31</v>
      </c>
      <c r="G17" s="3"/>
      <c r="H17" s="50">
        <f>B11*(B18/100)*(B19/100)</f>
        <v>660000</v>
      </c>
      <c r="I17" s="54"/>
      <c r="J17" s="52"/>
      <c r="K17" s="50">
        <f>B11*(B18/100)*(B19/100)</f>
        <v>660000</v>
      </c>
      <c r="L17" s="53"/>
      <c r="M17" s="52"/>
      <c r="N17" s="50">
        <f t="shared" si="0"/>
        <v>1980000</v>
      </c>
      <c r="O17" s="54"/>
      <c r="P17" s="52"/>
      <c r="Q17" s="50">
        <f t="shared" si="1"/>
        <v>3300000</v>
      </c>
      <c r="R17" s="54"/>
      <c r="S17" s="52"/>
      <c r="T17" s="50">
        <f t="shared" si="2"/>
        <v>6600000</v>
      </c>
      <c r="U17" s="5"/>
    </row>
    <row r="18" spans="1:21" x14ac:dyDescent="0.25">
      <c r="A18" s="24" t="s">
        <v>9</v>
      </c>
      <c r="B18" s="35">
        <v>10</v>
      </c>
      <c r="C18" s="24" t="s">
        <v>5</v>
      </c>
      <c r="E18" s="1"/>
      <c r="F18" s="2" t="s">
        <v>32</v>
      </c>
      <c r="G18" s="3"/>
      <c r="H18" s="50">
        <f>B13*0.42</f>
        <v>1155000</v>
      </c>
      <c r="I18" s="54"/>
      <c r="J18" s="52"/>
      <c r="K18" s="52" t="s">
        <v>33</v>
      </c>
      <c r="L18" s="53"/>
      <c r="M18" s="52"/>
      <c r="N18" s="50">
        <f>H18</f>
        <v>1155000</v>
      </c>
      <c r="O18" s="54"/>
      <c r="P18" s="52"/>
      <c r="Q18" s="50">
        <f>H18</f>
        <v>1155000</v>
      </c>
      <c r="R18" s="54"/>
      <c r="S18" s="52"/>
      <c r="T18" s="50">
        <f>H18</f>
        <v>1155000</v>
      </c>
      <c r="U18" s="5"/>
    </row>
    <row r="19" spans="1:21" ht="15.75" thickBot="1" x14ac:dyDescent="0.3">
      <c r="A19" s="24" t="s">
        <v>10</v>
      </c>
      <c r="B19" s="35">
        <v>60</v>
      </c>
      <c r="C19" s="24" t="s">
        <v>5</v>
      </c>
      <c r="E19" s="1"/>
      <c r="F19" s="2" t="s">
        <v>34</v>
      </c>
      <c r="G19" s="3"/>
      <c r="H19" s="50">
        <f>H18*(B21/100)</f>
        <v>57750</v>
      </c>
      <c r="I19" s="54"/>
      <c r="J19" s="52"/>
      <c r="K19" s="50">
        <f>H19</f>
        <v>57750</v>
      </c>
      <c r="L19" s="53"/>
      <c r="M19" s="52"/>
      <c r="N19" s="50">
        <f>K19*3</f>
        <v>173250</v>
      </c>
      <c r="O19" s="54"/>
      <c r="P19" s="52"/>
      <c r="Q19" s="50">
        <f>K19*5</f>
        <v>288750</v>
      </c>
      <c r="R19" s="54"/>
      <c r="S19" s="52"/>
      <c r="T19" s="50">
        <f>K19*10</f>
        <v>577500</v>
      </c>
      <c r="U19" s="5"/>
    </row>
    <row r="20" spans="1:21" ht="16.5" thickTop="1" thickBot="1" x14ac:dyDescent="0.3">
      <c r="A20" s="24" t="s">
        <v>11</v>
      </c>
      <c r="B20" s="35">
        <v>5</v>
      </c>
      <c r="C20" s="24" t="s">
        <v>5</v>
      </c>
      <c r="E20" s="1"/>
      <c r="F20" s="10" t="s">
        <v>35</v>
      </c>
      <c r="G20" s="11" t="s">
        <v>26</v>
      </c>
      <c r="H20" s="12">
        <f>SUM(H12:H19)</f>
        <v>9308270</v>
      </c>
      <c r="I20" s="10"/>
      <c r="J20" s="11" t="s">
        <v>26</v>
      </c>
      <c r="K20" s="12">
        <f>SUM(K12:K19)</f>
        <v>8153270</v>
      </c>
      <c r="L20" s="13"/>
      <c r="M20" s="11" t="s">
        <v>26</v>
      </c>
      <c r="N20" s="12">
        <f>SUM(N12:N19)</f>
        <v>25614810</v>
      </c>
      <c r="O20" s="10"/>
      <c r="P20" s="11" t="s">
        <v>26</v>
      </c>
      <c r="Q20" s="12">
        <f>SUM(Q12:Q19)</f>
        <v>41921350</v>
      </c>
      <c r="R20" s="10"/>
      <c r="S20" s="11" t="s">
        <v>26</v>
      </c>
      <c r="T20" s="12">
        <f>SUM(T12:T19)</f>
        <v>82687700</v>
      </c>
      <c r="U20" s="5"/>
    </row>
    <row r="21" spans="1:21" ht="15.75" thickTop="1" x14ac:dyDescent="0.25">
      <c r="A21" s="24" t="s">
        <v>12</v>
      </c>
      <c r="B21" s="35">
        <v>5</v>
      </c>
      <c r="C21" s="24" t="s">
        <v>5</v>
      </c>
      <c r="E21" s="1"/>
      <c r="F21" s="2"/>
      <c r="G21" s="3"/>
      <c r="H21" s="3"/>
      <c r="I21" s="2"/>
      <c r="J21" s="3"/>
      <c r="K21" s="3"/>
      <c r="L21" s="4"/>
      <c r="M21" s="3"/>
      <c r="N21" s="3"/>
      <c r="O21" s="2"/>
      <c r="P21" s="3"/>
      <c r="Q21" s="3"/>
      <c r="R21" s="2"/>
      <c r="S21" s="3"/>
      <c r="T21" s="3"/>
      <c r="U21" s="5"/>
    </row>
    <row r="22" spans="1:21" x14ac:dyDescent="0.25">
      <c r="A22" s="24" t="s">
        <v>13</v>
      </c>
      <c r="B22" s="33">
        <v>1000</v>
      </c>
      <c r="E22" s="1"/>
      <c r="F22" s="6" t="s">
        <v>36</v>
      </c>
      <c r="G22" s="7"/>
      <c r="H22" s="7"/>
      <c r="I22" s="6"/>
      <c r="J22" s="7"/>
      <c r="K22" s="7"/>
      <c r="L22" s="8"/>
      <c r="M22" s="7"/>
      <c r="N22" s="7"/>
      <c r="O22" s="6"/>
      <c r="P22" s="7"/>
      <c r="Q22" s="7"/>
      <c r="R22" s="6"/>
      <c r="S22" s="7"/>
      <c r="T22" s="7"/>
      <c r="U22" s="5"/>
    </row>
    <row r="23" spans="1:21" x14ac:dyDescent="0.25">
      <c r="A23" s="24" t="s">
        <v>14</v>
      </c>
      <c r="B23" s="28">
        <f>IF((B22*485)&lt;34640,485,(34640/B22))</f>
        <v>34.64</v>
      </c>
      <c r="E23" s="1"/>
      <c r="F23" s="2"/>
      <c r="G23" s="3"/>
      <c r="H23" s="3"/>
      <c r="I23" s="2"/>
      <c r="J23" s="3"/>
      <c r="K23" s="3"/>
      <c r="L23" s="4"/>
      <c r="M23" s="3"/>
      <c r="N23" s="3"/>
      <c r="O23" s="2"/>
      <c r="P23" s="3"/>
      <c r="Q23" s="3"/>
      <c r="R23" s="2"/>
      <c r="S23" s="3"/>
      <c r="T23" s="3"/>
      <c r="U23" s="5"/>
    </row>
    <row r="24" spans="1:21" x14ac:dyDescent="0.25">
      <c r="A24" s="24" t="s">
        <v>15</v>
      </c>
      <c r="B24" s="29">
        <v>50000</v>
      </c>
      <c r="E24" s="1"/>
      <c r="F24" s="2" t="s">
        <v>37</v>
      </c>
      <c r="G24" s="3" t="s">
        <v>26</v>
      </c>
      <c r="H24" s="9">
        <f>B24</f>
        <v>50000</v>
      </c>
      <c r="I24" s="2"/>
      <c r="J24" s="3" t="s">
        <v>26</v>
      </c>
      <c r="K24" s="3" t="s">
        <v>33</v>
      </c>
      <c r="L24" s="4"/>
      <c r="M24" s="3" t="s">
        <v>26</v>
      </c>
      <c r="N24" s="9">
        <f>B24</f>
        <v>50000</v>
      </c>
      <c r="O24" s="2"/>
      <c r="P24" s="3" t="s">
        <v>26</v>
      </c>
      <c r="Q24" s="9">
        <f>B24</f>
        <v>50000</v>
      </c>
      <c r="R24" s="2"/>
      <c r="S24" s="3" t="s">
        <v>26</v>
      </c>
      <c r="T24" s="9">
        <f>B24</f>
        <v>50000</v>
      </c>
      <c r="U24" s="5"/>
    </row>
    <row r="25" spans="1:21" x14ac:dyDescent="0.25">
      <c r="A25" s="24" t="s">
        <v>16</v>
      </c>
      <c r="B25" s="29">
        <v>50000</v>
      </c>
      <c r="E25" s="1"/>
      <c r="F25" s="2" t="s">
        <v>17</v>
      </c>
      <c r="G25" s="3"/>
      <c r="H25" s="9">
        <f>B26</f>
        <v>25000</v>
      </c>
      <c r="I25" s="2"/>
      <c r="J25" s="3"/>
      <c r="K25" s="9">
        <f>B26</f>
        <v>25000</v>
      </c>
      <c r="L25" s="4"/>
      <c r="M25" s="3"/>
      <c r="N25" s="9">
        <f>B26*3</f>
        <v>75000</v>
      </c>
      <c r="O25" s="2"/>
      <c r="P25" s="3"/>
      <c r="Q25" s="9">
        <f>B26*5</f>
        <v>125000</v>
      </c>
      <c r="R25" s="2"/>
      <c r="S25" s="3"/>
      <c r="T25" s="9">
        <f>B26*10</f>
        <v>250000</v>
      </c>
      <c r="U25" s="5"/>
    </row>
    <row r="26" spans="1:21" ht="15.75" thickBot="1" x14ac:dyDescent="0.3">
      <c r="A26" s="24" t="s">
        <v>17</v>
      </c>
      <c r="B26" s="29">
        <v>25000</v>
      </c>
      <c r="E26" s="1"/>
      <c r="F26" s="2" t="s">
        <v>38</v>
      </c>
      <c r="G26" s="3"/>
      <c r="H26" s="9">
        <f>B25</f>
        <v>50000</v>
      </c>
      <c r="I26" s="2"/>
      <c r="J26" s="3"/>
      <c r="K26" s="9">
        <f>B25</f>
        <v>50000</v>
      </c>
      <c r="L26" s="4"/>
      <c r="M26" s="3"/>
      <c r="N26" s="9">
        <f>B25*3</f>
        <v>150000</v>
      </c>
      <c r="O26" s="2"/>
      <c r="P26" s="3"/>
      <c r="Q26" s="9">
        <f>B25*5</f>
        <v>250000</v>
      </c>
      <c r="R26" s="2"/>
      <c r="S26" s="3"/>
      <c r="T26" s="9">
        <f>B25*10</f>
        <v>500000</v>
      </c>
      <c r="U26" s="5"/>
    </row>
    <row r="27" spans="1:21" ht="16.5" thickTop="1" thickBot="1" x14ac:dyDescent="0.3">
      <c r="E27" s="1"/>
      <c r="F27" s="10" t="s">
        <v>39</v>
      </c>
      <c r="G27" s="11" t="s">
        <v>26</v>
      </c>
      <c r="H27" s="12">
        <f>SUM(H24:H26)</f>
        <v>125000</v>
      </c>
      <c r="I27" s="10"/>
      <c r="J27" s="11" t="s">
        <v>26</v>
      </c>
      <c r="K27" s="12">
        <f>SUM(K25:K26)</f>
        <v>75000</v>
      </c>
      <c r="L27" s="13"/>
      <c r="M27" s="11" t="s">
        <v>26</v>
      </c>
      <c r="N27" s="12">
        <f>SUM(N24:N26)</f>
        <v>275000</v>
      </c>
      <c r="O27" s="10"/>
      <c r="P27" s="11" t="s">
        <v>26</v>
      </c>
      <c r="Q27" s="12">
        <f>SUM(Q24:Q26)</f>
        <v>425000</v>
      </c>
      <c r="R27" s="10"/>
      <c r="S27" s="11" t="s">
        <v>26</v>
      </c>
      <c r="T27" s="12">
        <f>SUM(T24:T26)</f>
        <v>800000</v>
      </c>
      <c r="U27" s="5"/>
    </row>
    <row r="28" spans="1:21" ht="16.5" thickTop="1" thickBot="1" x14ac:dyDescent="0.3">
      <c r="E28" s="1"/>
      <c r="F28" s="2"/>
      <c r="G28" s="3"/>
      <c r="H28" s="3"/>
      <c r="I28" s="2"/>
      <c r="J28" s="3"/>
      <c r="K28" s="3"/>
      <c r="L28" s="4"/>
      <c r="M28" s="3"/>
      <c r="N28" s="3"/>
      <c r="O28" s="2"/>
      <c r="P28" s="3"/>
      <c r="Q28" s="3"/>
      <c r="R28" s="2"/>
      <c r="S28" s="3"/>
      <c r="T28" s="3"/>
      <c r="U28" s="5"/>
    </row>
    <row r="29" spans="1:21" ht="15.75" thickBot="1" x14ac:dyDescent="0.3">
      <c r="E29" s="1"/>
      <c r="F29" s="14" t="s">
        <v>40</v>
      </c>
      <c r="G29" s="15" t="s">
        <v>26</v>
      </c>
      <c r="H29" s="16">
        <f>H20-H27</f>
        <v>9183270</v>
      </c>
      <c r="I29" s="14"/>
      <c r="J29" s="15" t="s">
        <v>26</v>
      </c>
      <c r="K29" s="16">
        <f>K20-K27</f>
        <v>8078270</v>
      </c>
      <c r="L29" s="17"/>
      <c r="M29" s="15" t="s">
        <v>26</v>
      </c>
      <c r="N29" s="16">
        <f>N20-N27</f>
        <v>25339810</v>
      </c>
      <c r="O29" s="14"/>
      <c r="P29" s="15" t="s">
        <v>26</v>
      </c>
      <c r="Q29" s="16">
        <f>Q20-Q27</f>
        <v>41496350</v>
      </c>
      <c r="R29" s="14"/>
      <c r="S29" s="15" t="s">
        <v>26</v>
      </c>
      <c r="T29" s="16">
        <f>T20-T27</f>
        <v>81887700</v>
      </c>
      <c r="U29" s="5"/>
    </row>
    <row r="30" spans="1:21" ht="16.5" thickTop="1" thickBot="1" x14ac:dyDescent="0.3">
      <c r="E30" s="1"/>
      <c r="F30" s="48" t="s">
        <v>41</v>
      </c>
      <c r="G30" s="49" t="s">
        <v>26</v>
      </c>
      <c r="H30" s="58">
        <f>H29/B10</f>
        <v>918.327</v>
      </c>
      <c r="I30" s="59"/>
      <c r="J30" s="58" t="s">
        <v>26</v>
      </c>
      <c r="K30" s="58">
        <f>K29/B10</f>
        <v>807.827</v>
      </c>
      <c r="L30" s="60"/>
      <c r="M30" s="58" t="s">
        <v>26</v>
      </c>
      <c r="N30" s="58">
        <f>N29/B10/3</f>
        <v>844.66033333333337</v>
      </c>
      <c r="O30" s="59"/>
      <c r="P30" s="58" t="s">
        <v>26</v>
      </c>
      <c r="Q30" s="58">
        <f>Q29/B10/5</f>
        <v>829.92700000000002</v>
      </c>
      <c r="R30" s="59"/>
      <c r="S30" s="58" t="s">
        <v>26</v>
      </c>
      <c r="T30" s="58">
        <f>T29/B10/10</f>
        <v>818.87700000000007</v>
      </c>
      <c r="U30" s="5"/>
    </row>
    <row r="31" spans="1:21" ht="16.5" thickTop="1" thickBot="1" x14ac:dyDescent="0.3">
      <c r="E31" s="18"/>
      <c r="F31" s="19"/>
      <c r="G31" s="20"/>
      <c r="H31" s="20"/>
      <c r="I31" s="19"/>
      <c r="J31" s="20"/>
      <c r="K31" s="20"/>
      <c r="L31" s="21"/>
      <c r="M31" s="20"/>
      <c r="N31" s="22"/>
      <c r="O31" s="22"/>
      <c r="P31" s="22"/>
      <c r="Q31" s="22"/>
      <c r="R31" s="22"/>
      <c r="S31" s="22"/>
      <c r="T31" s="22"/>
      <c r="U31" s="23"/>
    </row>
    <row r="32" spans="1:21" ht="15.75" thickTop="1" x14ac:dyDescent="0.25"/>
    <row r="33" spans="2:21" x14ac:dyDescent="0.25">
      <c r="B33" s="26"/>
      <c r="E33" s="63" t="s">
        <v>47</v>
      </c>
      <c r="F33" s="63"/>
      <c r="G33" s="63"/>
      <c r="H33" s="63"/>
      <c r="I33" s="63"/>
      <c r="J33" s="63"/>
      <c r="K33" s="63"/>
      <c r="L33" s="63"/>
      <c r="M33" s="63"/>
      <c r="N33" s="63"/>
      <c r="O33" s="63"/>
      <c r="P33" s="63"/>
      <c r="Q33" s="63"/>
      <c r="R33" s="63"/>
      <c r="S33" s="63"/>
      <c r="T33" s="63"/>
      <c r="U33" s="63"/>
    </row>
    <row r="34" spans="2:21" s="31" customFormat="1" x14ac:dyDescent="0.25">
      <c r="B34" s="32"/>
      <c r="E34" s="62" t="s">
        <v>42</v>
      </c>
      <c r="F34" s="62"/>
      <c r="G34" s="62"/>
      <c r="H34" s="62"/>
      <c r="I34" s="62"/>
      <c r="J34" s="62"/>
      <c r="K34" s="62"/>
      <c r="L34" s="62"/>
      <c r="M34" s="62"/>
      <c r="N34" s="62"/>
      <c r="O34" s="62"/>
      <c r="P34" s="62"/>
      <c r="Q34" s="62"/>
      <c r="R34" s="62"/>
      <c r="S34" s="62"/>
      <c r="T34" s="62"/>
      <c r="U34" s="62"/>
    </row>
    <row r="35" spans="2:21" x14ac:dyDescent="0.25">
      <c r="B35" s="26"/>
      <c r="E35" s="62" t="s">
        <v>43</v>
      </c>
      <c r="F35" s="62"/>
      <c r="G35" s="62"/>
      <c r="H35" s="62"/>
      <c r="I35" s="62"/>
      <c r="J35" s="62"/>
      <c r="K35" s="62"/>
      <c r="L35" s="62"/>
      <c r="M35" s="62"/>
      <c r="N35" s="62"/>
      <c r="O35" s="62"/>
      <c r="P35" s="62"/>
      <c r="Q35" s="62"/>
      <c r="R35" s="62"/>
      <c r="S35" s="62"/>
      <c r="T35" s="62"/>
      <c r="U35" s="62"/>
    </row>
    <row r="36" spans="2:21" x14ac:dyDescent="0.25">
      <c r="B36" s="26"/>
      <c r="E36" s="62" t="s">
        <v>44</v>
      </c>
      <c r="F36" s="62"/>
      <c r="G36" s="62"/>
      <c r="H36" s="62"/>
      <c r="I36" s="62"/>
      <c r="J36" s="62"/>
      <c r="K36" s="62"/>
      <c r="L36" s="62"/>
      <c r="M36" s="62"/>
      <c r="N36" s="62"/>
      <c r="O36" s="62"/>
      <c r="P36" s="62"/>
      <c r="Q36" s="62"/>
      <c r="R36" s="62"/>
      <c r="S36" s="62"/>
      <c r="T36" s="62"/>
      <c r="U36" s="62"/>
    </row>
    <row r="37" spans="2:21" x14ac:dyDescent="0.25">
      <c r="B37" s="26"/>
      <c r="E37" s="62" t="s">
        <v>45</v>
      </c>
      <c r="F37" s="62"/>
      <c r="G37" s="62"/>
      <c r="H37" s="62"/>
      <c r="I37" s="62"/>
      <c r="J37" s="62"/>
      <c r="K37" s="62"/>
      <c r="L37" s="62"/>
      <c r="M37" s="62"/>
      <c r="N37" s="62"/>
      <c r="O37" s="62"/>
      <c r="P37" s="62"/>
      <c r="Q37" s="62"/>
      <c r="R37" s="62"/>
      <c r="S37" s="62"/>
      <c r="T37" s="62"/>
      <c r="U37" s="62"/>
    </row>
    <row r="38" spans="2:21" x14ac:dyDescent="0.25">
      <c r="B38" s="26"/>
      <c r="E38" s="62" t="s">
        <v>48</v>
      </c>
      <c r="F38" s="62"/>
      <c r="G38" s="62"/>
      <c r="H38" s="62"/>
      <c r="I38" s="62"/>
      <c r="J38" s="62"/>
      <c r="K38" s="62"/>
      <c r="L38" s="62"/>
      <c r="M38" s="62"/>
      <c r="N38" s="62"/>
      <c r="O38" s="62"/>
      <c r="P38" s="62"/>
      <c r="Q38" s="62"/>
      <c r="R38" s="62"/>
      <c r="S38" s="62"/>
      <c r="T38" s="62"/>
      <c r="U38" s="62"/>
    </row>
    <row r="39" spans="2:21" x14ac:dyDescent="0.25">
      <c r="B39" s="26"/>
    </row>
    <row r="40" spans="2:21" x14ac:dyDescent="0.25">
      <c r="B40" s="26"/>
      <c r="F40" s="27"/>
    </row>
    <row r="41" spans="2:21" x14ac:dyDescent="0.25">
      <c r="B41" s="26"/>
    </row>
    <row r="42" spans="2:21" x14ac:dyDescent="0.25">
      <c r="B42" s="26"/>
    </row>
    <row r="43" spans="2:21" x14ac:dyDescent="0.25">
      <c r="B43" s="26"/>
    </row>
    <row r="44" spans="2:21" x14ac:dyDescent="0.25">
      <c r="B44" s="26"/>
    </row>
    <row r="45" spans="2:21" x14ac:dyDescent="0.25">
      <c r="B45" s="26"/>
    </row>
    <row r="46" spans="2:21" x14ac:dyDescent="0.25">
      <c r="B46" s="26"/>
    </row>
    <row r="47" spans="2:21" x14ac:dyDescent="0.25">
      <c r="B47" s="26"/>
    </row>
    <row r="48" spans="2:21" x14ac:dyDescent="0.25">
      <c r="B48" s="26"/>
    </row>
    <row r="49" spans="2:2" x14ac:dyDescent="0.25">
      <c r="B49" s="26"/>
    </row>
    <row r="50" spans="2:2" x14ac:dyDescent="0.25">
      <c r="B50" s="26"/>
    </row>
    <row r="51" spans="2:2" x14ac:dyDescent="0.25">
      <c r="B51" s="26"/>
    </row>
    <row r="52" spans="2:2" x14ac:dyDescent="0.25">
      <c r="B52" s="26"/>
    </row>
    <row r="53" spans="2:2" x14ac:dyDescent="0.25">
      <c r="B53" s="26"/>
    </row>
    <row r="54" spans="2:2" x14ac:dyDescent="0.25">
      <c r="B54" s="26"/>
    </row>
    <row r="55" spans="2:2" x14ac:dyDescent="0.25">
      <c r="B55" s="26"/>
    </row>
  </sheetData>
  <sheetProtection sheet="1" objects="1" scenarios="1"/>
  <mergeCells count="6">
    <mergeCell ref="E38:U38"/>
    <mergeCell ref="E33:U33"/>
    <mergeCell ref="E34:U34"/>
    <mergeCell ref="E35:U35"/>
    <mergeCell ref="E36:U36"/>
    <mergeCell ref="E37:U37"/>
  </mergeCells>
  <printOptions horizontalCentered="1" verticalCentered="1"/>
  <pageMargins left="0.7" right="0.7" top="0.75" bottom="0.75" header="0.3" footer="0.3"/>
  <pageSetup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FTZ Calculator</vt:lpstr>
      <vt:lpstr>'FTZ Calculator'!Print_Area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Frederick (Logistics Plus Inc)</dc:creator>
  <cp:lastModifiedBy>Scott Frederick (Logistics Plus Inc)</cp:lastModifiedBy>
  <dcterms:created xsi:type="dcterms:W3CDTF">2016-12-13T22:16:11Z</dcterms:created>
  <dcterms:modified xsi:type="dcterms:W3CDTF">2017-01-26T12:51:13Z</dcterms:modified>
</cp:coreProperties>
</file>